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<sst xmlns="http://schemas.openxmlformats.org/spreadsheetml/2006/main" count="125" uniqueCount="122">
  <si>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</si>
  <si>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</si>
  <si>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</si>
  <si>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</si>
  <si>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</si>
  <si>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</si>
  <si>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</si>
  <si>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</si>
  <si>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</si>
  <si>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</si>
  <si>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</si>
  <si>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</si>
  <si>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</si>
  <si>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</si>
  <si>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</si>
  <si>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</si>
  <si>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</si>
  <si>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</si>
  <si>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</si>
  <si>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</si>
  <si>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</si>
  <si>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</si>
  <si>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</si>
  <si>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</si>
  <si>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</si>
  <si>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</si>
  <si>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</si>
  <si>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</si>
  <si>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</si>
  <si>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</si>
  <si>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</si>
  <si>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</si>
  <si>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</si>
  <si>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</si>
  <si>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</si>
  <si>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</si>
  <si>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</si>
  <si>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</si>
  <si>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</si>
  <si>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</si>
  <si>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</si>
  <si>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</si>
  <si>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</si>
  <si>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</si>
  <si>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</si>
  <si>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</si>
  <si>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</si>
  <si>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</si>
  <si>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</si>
  <si>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</si>
  <si>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</si>
  <si>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</si>
  <si>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</si>
  <si>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</si>
  <si>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</si>
  <si>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</si>
  <si>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</si>
  <si>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</si>
  <si>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</si>
  <si>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</si>
  <si>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</si>
  <si>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</si>
  <si>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</si>
  <si>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</si>
  <si>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</si>
  <si>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</si>
  <si>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</si>
  <si>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</si>
  <si>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</si>
  <si>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</si>
  <si>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</si>
  <si>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</si>
  <si>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</si>
  <si>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</si>
  <si>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</si>
  <si>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</si>
  <si>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</si>
  <si>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</si>
  <si>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</si>
  <si>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</si>
  <si>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</si>
  <si>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</si>
  <si>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</si>
  <si>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</si>
  <si>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</si>
  <si>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</si>
  <si>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</si>
  <si>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</si>
  <si>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</si>
  <si>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</si>
  <si>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</si>
  <si>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</si>
  <si>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</si>
  <si>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</si>
  <si>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</si>
  <si>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</si>
  <si>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</si>
  <si>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</si>
  <si>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</si>
  <si>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</si>
  <si>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</si>
  <si>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</si>
  <si>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</si>
  <si>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</si>
  <si>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</si>
  <si>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</si>
  <si>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</si>
  <si>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</si>
  <si>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</si>
  <si>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</si>
  <si>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</si>
  <si>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</si>
  <si>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</si>
  <si>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</si>
  <si>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</si>
  <si>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</si>
  <si>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</si>
  <si>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</si>
  <si>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</si>
  <si>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</si>
  <si>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Капітальний ремонт внутрішньоквартального проїзду від буд. Горького 130 до буд. Різдвяна 115 в м. Черкаси</t>
  </si>
  <si>
    <t>Профінансовано станом на 27.09.16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</si>
</sst>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180" fontId="23" fillId="20" borderId="0" xfId="76" applyNumberFormat="1" applyFont="1" applyFill="1" applyBorder="1" applyAlignment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A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90" t="s">
        <v>10</v>
      </c>
      <c r="B1" s="90"/>
      <c r="C1" s="90"/>
      <c r="D1" s="90"/>
      <c r="E1" s="90"/>
      <c r="F1" s="90"/>
      <c r="G1" s="90"/>
      <c r="H1" s="90"/>
    </row>
    <row r="2" spans="1:8" ht="20.25" customHeight="1">
      <c r="A2" s="91" t="s">
        <v>11</v>
      </c>
      <c r="B2" s="91"/>
      <c r="C2" s="91"/>
      <c r="D2" s="91"/>
      <c r="E2" s="91"/>
      <c r="F2" s="91"/>
      <c r="G2" s="91"/>
      <c r="H2" s="9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3" t="s">
        <v>7</v>
      </c>
      <c r="B4" s="12"/>
      <c r="C4" s="93" t="s">
        <v>13</v>
      </c>
      <c r="D4" s="92" t="s">
        <v>14</v>
      </c>
      <c r="E4" s="92" t="s">
        <v>0</v>
      </c>
      <c r="F4" s="92" t="s">
        <v>1</v>
      </c>
      <c r="G4" s="14" t="s">
        <v>2</v>
      </c>
      <c r="H4" s="92" t="s">
        <v>121</v>
      </c>
      <c r="I4" s="79" t="s">
        <v>41</v>
      </c>
      <c r="J4" s="79" t="s">
        <v>119</v>
      </c>
      <c r="K4" s="84" t="s">
        <v>118</v>
      </c>
      <c r="L4" s="79" t="s">
        <v>42</v>
      </c>
      <c r="M4" s="79" t="s">
        <v>43</v>
      </c>
      <c r="N4" s="79" t="s">
        <v>44</v>
      </c>
      <c r="O4" s="79" t="s">
        <v>45</v>
      </c>
      <c r="P4" s="79" t="s">
        <v>46</v>
      </c>
      <c r="Q4" s="79" t="s">
        <v>47</v>
      </c>
      <c r="R4" s="79" t="s">
        <v>48</v>
      </c>
      <c r="S4" s="79" t="s">
        <v>49</v>
      </c>
      <c r="T4" s="79" t="s">
        <v>50</v>
      </c>
      <c r="U4" s="79" t="s">
        <v>51</v>
      </c>
      <c r="V4" s="79" t="s">
        <v>52</v>
      </c>
      <c r="W4" s="79" t="s">
        <v>53</v>
      </c>
      <c r="X4" s="79" t="s">
        <v>54</v>
      </c>
    </row>
    <row r="5" spans="1:24" ht="55.5" customHeight="1">
      <c r="A5" s="93"/>
      <c r="B5" s="15" t="s">
        <v>8</v>
      </c>
      <c r="C5" s="93"/>
      <c r="D5" s="92"/>
      <c r="E5" s="92"/>
      <c r="F5" s="92"/>
      <c r="G5" s="13" t="s">
        <v>6</v>
      </c>
      <c r="H5" s="92"/>
      <c r="I5" s="80"/>
      <c r="J5" s="86"/>
      <c r="K5" s="85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0"/>
      <c r="K6" s="49"/>
    </row>
    <row r="7" spans="1:25" s="16" customFormat="1" ht="19.5" customHeight="1">
      <c r="A7" s="81" t="s">
        <v>15</v>
      </c>
      <c r="B7" s="82"/>
      <c r="C7" s="82"/>
      <c r="D7" s="82"/>
      <c r="E7" s="82"/>
      <c r="F7" s="82"/>
      <c r="G7" s="82"/>
      <c r="H7" s="82"/>
      <c r="I7" s="83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114064283.38</v>
      </c>
      <c r="I8" s="70">
        <f>H8/D8*100</f>
        <v>77.62608370724215</v>
      </c>
      <c r="J8" s="70">
        <f>H8/(L8+M8+N8+O8+P8+Q8+R8+N25+O25+P25+Q25+R25+S8+S25+T8)*100</f>
        <v>101.67240697345572</v>
      </c>
      <c r="K8" s="63">
        <f>K9+K17</f>
        <v>2728986.6799999983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2219340.7800000003</v>
      </c>
      <c r="U8" s="63">
        <f t="shared" si="0"/>
        <v>1553444</v>
      </c>
      <c r="V8" s="63">
        <f t="shared" si="0"/>
        <v>2405286.11</v>
      </c>
      <c r="W8" s="63">
        <f t="shared" si="0"/>
        <v>4603013.859999999</v>
      </c>
      <c r="X8" s="63">
        <f t="shared" si="0"/>
        <v>39746763.9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28456033.250000004</v>
      </c>
      <c r="I9" s="45">
        <f>H9/D9*100</f>
        <v>71.59333353928722</v>
      </c>
      <c r="J9" s="45">
        <f>H9/(L9+M9+N9+O9+P9+Q9+R9+S9+T9+M17+N17+O17+P17+Q17+R17+S17+T17)*100</f>
        <v>91.24904622114828</v>
      </c>
      <c r="K9" s="23">
        <f>L9+M9+N9+O9+P9+Q9+R9+S9+T9-H10-H11-H12-H13-H14-H15-H16</f>
        <v>19388.409999998752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7">
        <f>(H10+H11+H12+H13+H14+H15+H16)/(L9+M9+N9+O9+P9+Q9+R9+S9+T9)*100</f>
        <v>99.89990802827465</v>
      </c>
      <c r="K10" s="51">
        <f aca="true" t="shared" si="2" ref="K10:K16">E10-H10</f>
        <v>2790.009999997914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8"/>
      <c r="K11" s="51">
        <f t="shared" si="2"/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</f>
        <v>3440497.43</v>
      </c>
      <c r="I12" s="46">
        <f aca="true" t="shared" si="3" ref="I12:I24">H12/D12*100</f>
        <v>95.82376438819058</v>
      </c>
      <c r="J12" s="88"/>
      <c r="K12" s="51">
        <f t="shared" si="2"/>
        <v>149945.3500000001</v>
      </c>
      <c r="Y12" s="69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88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8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8"/>
      <c r="K15" s="51">
        <f t="shared" si="2"/>
        <v>307.28000000002794</v>
      </c>
      <c r="T15" s="72">
        <v>378405.78</v>
      </c>
      <c r="Y15" s="69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89"/>
      <c r="K16" s="51">
        <f t="shared" si="2"/>
        <v>6511739.26</v>
      </c>
      <c r="V16" s="72">
        <v>2000000</v>
      </c>
      <c r="W16" s="72">
        <v>4511739.26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9104827.13</v>
      </c>
      <c r="I17" s="46">
        <f t="shared" si="3"/>
        <v>74.59487886806984</v>
      </c>
      <c r="J17" s="87">
        <f>H17/(L17+M17+N17+O17+P17+Q17+R17+S17+T17)*100</f>
        <v>77.06534022382503</v>
      </c>
      <c r="K17" s="71">
        <f>L17+M17+N17+O17+P17+Q17+R17+S17+T17-H17</f>
        <v>2709598.2699999996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</f>
        <v>3972089.8100000005</v>
      </c>
      <c r="I18" s="47">
        <f>H18/D18*100</f>
        <v>88.00464849894762</v>
      </c>
      <c r="J18" s="88"/>
      <c r="K18" s="94">
        <f>D18-H18</f>
        <v>541410.1899999995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88"/>
      <c r="K19" s="94">
        <f aca="true" t="shared" si="5" ref="K19:K24">D19-H19</f>
        <v>1638250.4000000004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8"/>
      <c r="K20" s="94">
        <f t="shared" si="5"/>
        <v>301969.6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</f>
        <v>937092.1500000001</v>
      </c>
      <c r="I21" s="47">
        <f t="shared" si="3"/>
        <v>91.05938684287243</v>
      </c>
      <c r="J21" s="88"/>
      <c r="K21" s="94">
        <f t="shared" si="5"/>
        <v>92007.84999999986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8"/>
      <c r="K22" s="94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8"/>
      <c r="K23" s="94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89"/>
      <c r="K24" s="94">
        <f t="shared" si="5"/>
        <v>293442.06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85608250.13</v>
      </c>
      <c r="I25" s="45">
        <f>H25/D25*100</f>
        <v>79.8629861317632</v>
      </c>
      <c r="J25" s="68">
        <f>H25/(L25+M25+N25+O25+P25+Q25+R25+S25+T25)*100</f>
        <v>95.26705158157664</v>
      </c>
      <c r="K25" s="52">
        <f>L25+M25+N25+O25+P25+Q25+R25+S25+T25-H25</f>
        <v>4253090.920000002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>SUM(P26:P45)</f>
        <v>13603977.01</v>
      </c>
      <c r="Q25" s="62">
        <f t="shared" si="6"/>
        <v>3768235.38</v>
      </c>
      <c r="R25" s="62">
        <f t="shared" si="6"/>
        <v>18763192.62</v>
      </c>
      <c r="S25" s="62">
        <f t="shared" si="6"/>
        <v>24610815.8</v>
      </c>
      <c r="T25" s="62">
        <f t="shared" si="6"/>
        <v>8858318.25</v>
      </c>
      <c r="U25" s="62">
        <f t="shared" si="6"/>
        <v>6706628.32</v>
      </c>
      <c r="V25" s="62">
        <f t="shared" si="6"/>
        <v>3377592.43</v>
      </c>
      <c r="W25" s="62">
        <f t="shared" si="6"/>
        <v>7248339</v>
      </c>
      <c r="X25" s="62">
        <f t="shared" si="6"/>
        <v>107193900.8</v>
      </c>
      <c r="Y25" s="69">
        <f aca="true" t="shared" si="7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H26/(L26+M26+N26+O26+P26+Q26+R26+S26+T26)*100</f>
        <v>40.476190476190474</v>
      </c>
      <c r="K26" s="52">
        <f aca="true" t="shared" si="8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7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 aca="true" t="shared" si="11" ref="J27:J45">H27/(L27+M27+N27+O27+P27+Q27+R27+S27+T27)*100</f>
        <v>100</v>
      </c>
      <c r="K27" s="52">
        <f t="shared" si="8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7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t="shared" si="11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7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1"/>
        <v>95.91765833333334</v>
      </c>
      <c r="K29" s="52">
        <f t="shared" si="8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7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1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7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1"/>
        <v>99.56553142857143</v>
      </c>
      <c r="K31" s="52">
        <f t="shared" si="8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7"/>
        <v>0</v>
      </c>
    </row>
    <row r="32" spans="1:25" s="4" customFormat="1" ht="24" customHeight="1">
      <c r="A32" s="1"/>
      <c r="B32" s="5"/>
      <c r="C32" s="54" t="s">
        <v>120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 t="shared" si="11"/>
        <v>12</v>
      </c>
      <c r="K32" s="52">
        <f>L32+M32+N32+O32+P32+Q32+R32+S32+T32-H32</f>
        <v>220000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7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14000+433000+280000</f>
        <v>727000</v>
      </c>
      <c r="I33" s="46">
        <f t="shared" si="13"/>
        <v>69.23809523809524</v>
      </c>
      <c r="J33" s="67">
        <f t="shared" si="11"/>
        <v>90.68671171480214</v>
      </c>
      <c r="K33" s="52">
        <f t="shared" si="8"/>
        <v>74661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3">
        <f>SUM(L33:W33)</f>
        <v>1050000</v>
      </c>
      <c r="Y33" s="74">
        <f t="shared" si="7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146000+118000+3301936+3041280.8</f>
        <v>6607216.8</v>
      </c>
      <c r="I34" s="46">
        <f t="shared" si="13"/>
        <v>94.38881142857143</v>
      </c>
      <c r="J34" s="67">
        <f t="shared" si="11"/>
        <v>185.28370162647224</v>
      </c>
      <c r="K34" s="52">
        <f t="shared" si="8"/>
        <v>-3041216.8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3">
        <f t="shared" si="12"/>
        <v>7000000</v>
      </c>
      <c r="Y34" s="74">
        <f t="shared" si="7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t="shared" si="13"/>
        <v>98.7573304347826</v>
      </c>
      <c r="J35" s="67">
        <f t="shared" si="11"/>
        <v>113.37252807586724</v>
      </c>
      <c r="K35" s="52">
        <f t="shared" si="8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3">
        <f t="shared" si="12"/>
        <v>23000000</v>
      </c>
      <c r="Y35" s="74">
        <f t="shared" si="7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80000+35000+1000000</f>
        <v>1115000</v>
      </c>
      <c r="I36" s="46">
        <f t="shared" si="13"/>
        <v>76.02618300831855</v>
      </c>
      <c r="J36" s="67">
        <f t="shared" si="11"/>
        <v>85.6637984019668</v>
      </c>
      <c r="K36" s="52">
        <f t="shared" si="8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3">
        <f t="shared" si="12"/>
        <v>1466600</v>
      </c>
      <c r="Y36" s="74">
        <f t="shared" si="7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</f>
        <v>35878291.34</v>
      </c>
      <c r="I37" s="46">
        <f t="shared" si="13"/>
        <v>72.81443516291291</v>
      </c>
      <c r="J37" s="67">
        <f t="shared" si="11"/>
        <v>89.16387253760364</v>
      </c>
      <c r="K37" s="52">
        <f t="shared" si="8"/>
        <v>4360305.659999996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3">
        <f t="shared" si="12"/>
        <v>49273597</v>
      </c>
      <c r="Y37" s="74">
        <f t="shared" si="7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3"/>
        <v>71.44200000000001</v>
      </c>
      <c r="J38" s="67">
        <f t="shared" si="11"/>
        <v>93.16901408450704</v>
      </c>
      <c r="K38" s="52">
        <f t="shared" si="8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3">
        <f t="shared" si="12"/>
        <v>5000000</v>
      </c>
      <c r="Y38" s="74">
        <f t="shared" si="7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173000+900000+31000+900000+32000+1100000+32000+500000+21466.9+43601.11+16760.29+377319.01+6388+22832.54+435000</f>
        <v>4591367.85</v>
      </c>
      <c r="I39" s="46">
        <f t="shared" si="13"/>
        <v>71.965013322884</v>
      </c>
      <c r="J39" s="67">
        <f t="shared" si="11"/>
        <v>71.965013322884</v>
      </c>
      <c r="K39" s="52">
        <f t="shared" si="8"/>
        <v>1788632.1500000004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3">
        <f t="shared" si="12"/>
        <v>6380000</v>
      </c>
      <c r="Y39" s="74">
        <f t="shared" si="7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3"/>
        <v>99.5836002875629</v>
      </c>
      <c r="J40" s="67">
        <f t="shared" si="11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3">
        <f t="shared" si="12"/>
        <v>1391000</v>
      </c>
      <c r="Y40" s="74">
        <f t="shared" si="7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1"/>
        <v>90.10773750000001</v>
      </c>
      <c r="K41" s="52">
        <f t="shared" si="8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7"/>
        <v>0</v>
      </c>
    </row>
    <row r="42" spans="1:25" s="4" customFormat="1" ht="18.75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1"/>
        <v>33.42245989304813</v>
      </c>
      <c r="K42" s="52">
        <f t="shared" si="8"/>
        <v>59760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7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7">
        <f t="shared" si="11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3">
        <f t="shared" si="12"/>
        <v>7700000</v>
      </c>
      <c r="Y43" s="74">
        <f t="shared" si="7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1"/>
        <v>124.01066072230009</v>
      </c>
      <c r="K44" s="52">
        <f t="shared" si="8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3">
        <f>SUM(L44:W44)</f>
        <v>145755</v>
      </c>
      <c r="Y44" s="74">
        <f t="shared" si="7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1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7"/>
        <v>2.3283064365386963E-10</v>
      </c>
    </row>
    <row r="46" spans="1:25" s="16" customFormat="1" ht="24" customHeight="1">
      <c r="A46" s="81" t="s">
        <v>29</v>
      </c>
      <c r="B46" s="82"/>
      <c r="C46" s="82"/>
      <c r="D46" s="82"/>
      <c r="E46" s="82"/>
      <c r="F46" s="82"/>
      <c r="G46" s="82"/>
      <c r="H46" s="82"/>
      <c r="I46" s="82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49438172.510000005</v>
      </c>
      <c r="I47" s="64">
        <f>H47/D47*100</f>
        <v>51.79466929589927</v>
      </c>
      <c r="J47" s="64">
        <f>H48/(L48+M48+N48+O48+P48+Q48+R48+S48+T48)*100</f>
        <v>75.03635767339088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49438172.510000005</v>
      </c>
      <c r="I48" s="48">
        <f>H48/D48*100</f>
        <v>51.79466929589927</v>
      </c>
      <c r="J48" s="68">
        <f>H48/(L48+M48+N48+O48+P48+Q48+R48+S48+T48)*100</f>
        <v>75.03635767339088</v>
      </c>
      <c r="K48" s="52">
        <f>L48+M48+N48+O48+P48+Q48+R48+S48+T48-H48</f>
        <v>16447451.529999994</v>
      </c>
      <c r="L48" s="61">
        <f>SUM(L49:L100)</f>
        <v>0</v>
      </c>
      <c r="M48" s="61">
        <f aca="true" t="shared" si="14" ref="M48:X48">SUM(M49:M100)</f>
        <v>2416000</v>
      </c>
      <c r="N48" s="61">
        <f>SUM(N49:N100)</f>
        <v>3584000</v>
      </c>
      <c r="O48" s="61">
        <f t="shared" si="14"/>
        <v>640500</v>
      </c>
      <c r="P48" s="61">
        <f t="shared" si="14"/>
        <v>6993995.17</v>
      </c>
      <c r="Q48" s="61">
        <f t="shared" si="14"/>
        <v>14129230</v>
      </c>
      <c r="R48" s="61">
        <f t="shared" si="14"/>
        <v>10444146</v>
      </c>
      <c r="S48" s="61">
        <f t="shared" si="14"/>
        <v>18083470.259999998</v>
      </c>
      <c r="T48" s="61">
        <f t="shared" si="14"/>
        <v>9594282.61</v>
      </c>
      <c r="U48" s="61">
        <f t="shared" si="14"/>
        <v>16160445.11</v>
      </c>
      <c r="V48" s="61">
        <f t="shared" si="14"/>
        <v>10375125.219999999</v>
      </c>
      <c r="W48" s="61">
        <f>SUM(W49:W100)</f>
        <v>3029115.83</v>
      </c>
      <c r="X48" s="61">
        <f t="shared" si="14"/>
        <v>95450310.2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5" ref="D49:D89">F49</f>
        <v>768000</v>
      </c>
      <c r="E49" s="30"/>
      <c r="F49" s="25">
        <f aca="true" t="shared" si="16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H49/(L49+M49+N49+O49+P49+Q49+R49+S49+T49)*100</f>
        <v>99.97009562848389</v>
      </c>
      <c r="K49" s="52">
        <f t="shared" si="8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69">
        <f aca="true" t="shared" si="17" ref="Y49:Y103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5"/>
        <v>64000</v>
      </c>
      <c r="E50" s="30"/>
      <c r="F50" s="25">
        <f t="shared" si="16"/>
        <v>64000</v>
      </c>
      <c r="G50" s="32">
        <f>164000-100000</f>
        <v>64000</v>
      </c>
      <c r="H50" s="25"/>
      <c r="I50" s="46"/>
      <c r="J50" s="67"/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8" ref="X50:X100">SUM(L50:W50)</f>
        <v>64000</v>
      </c>
      <c r="Y50" s="69">
        <f t="shared" si="17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5"/>
        <v>109800</v>
      </c>
      <c r="E51" s="30"/>
      <c r="F51" s="25">
        <f t="shared" si="16"/>
        <v>109800</v>
      </c>
      <c r="G51" s="32">
        <v>109800</v>
      </c>
      <c r="H51" s="25"/>
      <c r="I51" s="46"/>
      <c r="J51" s="67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8"/>
        <v>109800</v>
      </c>
      <c r="Y51" s="69">
        <f t="shared" si="17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5"/>
        <v>25280</v>
      </c>
      <c r="E52" s="30"/>
      <c r="F52" s="25">
        <f t="shared" si="16"/>
        <v>25280</v>
      </c>
      <c r="G52" s="32">
        <v>25280</v>
      </c>
      <c r="H52" s="25"/>
      <c r="I52" s="46"/>
      <c r="J52" s="67"/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8"/>
        <v>25280</v>
      </c>
      <c r="Y52" s="69">
        <f t="shared" si="17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5"/>
        <v>600000</v>
      </c>
      <c r="E53" s="30"/>
      <c r="F53" s="25">
        <f t="shared" si="16"/>
        <v>600000</v>
      </c>
      <c r="G53" s="32">
        <v>600000</v>
      </c>
      <c r="H53" s="25"/>
      <c r="I53" s="46"/>
      <c r="J53" s="67"/>
      <c r="K53" s="52">
        <f t="shared" si="8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8"/>
        <v>600000</v>
      </c>
      <c r="Y53" s="69">
        <f t="shared" si="17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5"/>
        <v>1100000</v>
      </c>
      <c r="E54" s="30"/>
      <c r="F54" s="25">
        <f t="shared" si="16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7">
        <f>H54/(L54+M54+N54+O54+P54+Q54+R54+S54+T54)*100</f>
        <v>80.82731572561399</v>
      </c>
      <c r="K54" s="52">
        <f t="shared" si="8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8"/>
        <v>1100000</v>
      </c>
      <c r="Y54" s="69">
        <f t="shared" si="17"/>
        <v>0</v>
      </c>
    </row>
    <row r="55" spans="1:25" s="77" customFormat="1" ht="22.5" customHeight="1">
      <c r="A55" s="1"/>
      <c r="B55" s="29"/>
      <c r="C55" s="56" t="s">
        <v>71</v>
      </c>
      <c r="D55" s="32">
        <f t="shared" si="15"/>
        <v>750000</v>
      </c>
      <c r="E55" s="30"/>
      <c r="F55" s="25">
        <f t="shared" si="16"/>
        <v>750000</v>
      </c>
      <c r="G55" s="32">
        <v>750000</v>
      </c>
      <c r="H55" s="25"/>
      <c r="I55" s="46"/>
      <c r="J55" s="67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8"/>
        <v>750000</v>
      </c>
      <c r="Y55" s="69">
        <f t="shared" si="17"/>
        <v>0</v>
      </c>
    </row>
    <row r="56" spans="1:25" s="77" customFormat="1" ht="40.5" customHeight="1">
      <c r="A56" s="1"/>
      <c r="B56" s="29"/>
      <c r="C56" s="56" t="s">
        <v>108</v>
      </c>
      <c r="D56" s="32">
        <f t="shared" si="15"/>
        <v>1180000</v>
      </c>
      <c r="E56" s="30"/>
      <c r="F56" s="25">
        <f t="shared" si="16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7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8"/>
        <v>1180000</v>
      </c>
      <c r="Y56" s="69">
        <f t="shared" si="17"/>
        <v>0</v>
      </c>
    </row>
    <row r="57" spans="1:25" s="77" customFormat="1" ht="40.5" customHeight="1" hidden="1">
      <c r="A57" s="1"/>
      <c r="B57" s="29"/>
      <c r="C57" s="56" t="s">
        <v>72</v>
      </c>
      <c r="D57" s="32">
        <f t="shared" si="15"/>
        <v>0</v>
      </c>
      <c r="E57" s="30"/>
      <c r="F57" s="25">
        <f t="shared" si="16"/>
        <v>0</v>
      </c>
      <c r="G57" s="32">
        <f>550000-550000</f>
        <v>0</v>
      </c>
      <c r="H57" s="25"/>
      <c r="I57" s="46" t="e">
        <f>H57/D57*100</f>
        <v>#DIV/0!</v>
      </c>
      <c r="J57" s="67" t="e">
        <f>H57/(L57+M57+N57+O57+P57+Q57+R57+S57+T57)*100</f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8"/>
        <v>0</v>
      </c>
      <c r="Y57" s="69">
        <f t="shared" si="17"/>
        <v>0</v>
      </c>
    </row>
    <row r="58" spans="1:25" s="77" customFormat="1" ht="40.5" customHeight="1">
      <c r="A58" s="1"/>
      <c r="B58" s="29"/>
      <c r="C58" s="56" t="s">
        <v>73</v>
      </c>
      <c r="D58" s="32">
        <f t="shared" si="15"/>
        <v>120000</v>
      </c>
      <c r="E58" s="30"/>
      <c r="F58" s="25">
        <f t="shared" si="16"/>
        <v>120000</v>
      </c>
      <c r="G58" s="32">
        <v>120000</v>
      </c>
      <c r="H58" s="25"/>
      <c r="I58" s="46"/>
      <c r="J58" s="67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8"/>
        <v>120000</v>
      </c>
      <c r="Y58" s="69">
        <f t="shared" si="17"/>
        <v>0</v>
      </c>
    </row>
    <row r="59" spans="1:25" s="77" customFormat="1" ht="24.75" customHeight="1">
      <c r="A59" s="1"/>
      <c r="B59" s="29"/>
      <c r="C59" s="56" t="s">
        <v>74</v>
      </c>
      <c r="D59" s="32">
        <f t="shared" si="15"/>
        <v>128800</v>
      </c>
      <c r="E59" s="30"/>
      <c r="F59" s="25">
        <f t="shared" si="16"/>
        <v>128800</v>
      </c>
      <c r="G59" s="32">
        <v>128800</v>
      </c>
      <c r="H59" s="25"/>
      <c r="I59" s="46"/>
      <c r="J59" s="67"/>
      <c r="K59" s="52">
        <f t="shared" si="8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8"/>
        <v>128800</v>
      </c>
      <c r="Y59" s="69">
        <f t="shared" si="17"/>
        <v>0</v>
      </c>
    </row>
    <row r="60" spans="1:25" s="77" customFormat="1" ht="23.25" customHeight="1">
      <c r="A60" s="1"/>
      <c r="B60" s="29"/>
      <c r="C60" s="56" t="s">
        <v>75</v>
      </c>
      <c r="D60" s="32">
        <f t="shared" si="15"/>
        <v>5000</v>
      </c>
      <c r="E60" s="30"/>
      <c r="F60" s="25">
        <f t="shared" si="16"/>
        <v>5000</v>
      </c>
      <c r="G60" s="32">
        <v>5000</v>
      </c>
      <c r="H60" s="25"/>
      <c r="I60" s="46"/>
      <c r="J60" s="67"/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8"/>
        <v>5000</v>
      </c>
      <c r="Y60" s="69">
        <f t="shared" si="17"/>
        <v>0</v>
      </c>
    </row>
    <row r="61" spans="1:25" s="77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>H61/(L61+M61+N61+O61+P61+Q61+R61+S61+T61)*100</f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8"/>
        <v>500000</v>
      </c>
      <c r="Y61" s="69">
        <f t="shared" si="17"/>
        <v>0</v>
      </c>
    </row>
    <row r="62" spans="1:25" s="77" customFormat="1" ht="23.25" customHeight="1">
      <c r="A62" s="1"/>
      <c r="B62" s="29"/>
      <c r="C62" s="78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7"/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8"/>
        <v>200000</v>
      </c>
      <c r="Y62" s="69">
        <f t="shared" si="17"/>
        <v>0</v>
      </c>
    </row>
    <row r="63" spans="1:25" s="77" customFormat="1" ht="24.75" customHeight="1">
      <c r="A63" s="1"/>
      <c r="B63" s="29"/>
      <c r="C63" s="55" t="s">
        <v>76</v>
      </c>
      <c r="D63" s="32">
        <f t="shared" si="15"/>
        <v>120000</v>
      </c>
      <c r="E63" s="30"/>
      <c r="F63" s="25">
        <f t="shared" si="16"/>
        <v>120000</v>
      </c>
      <c r="G63" s="32">
        <v>120000</v>
      </c>
      <c r="H63" s="25"/>
      <c r="I63" s="46"/>
      <c r="J63" s="67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8"/>
        <v>120000</v>
      </c>
      <c r="Y63" s="69">
        <f t="shared" si="17"/>
        <v>0</v>
      </c>
    </row>
    <row r="64" spans="1:25" s="77" customFormat="1" ht="39.75" customHeight="1">
      <c r="A64" s="1"/>
      <c r="B64" s="29"/>
      <c r="C64" s="56" t="s">
        <v>77</v>
      </c>
      <c r="D64" s="32">
        <f t="shared" si="15"/>
        <v>500</v>
      </c>
      <c r="E64" s="30"/>
      <c r="F64" s="25">
        <f t="shared" si="16"/>
        <v>500</v>
      </c>
      <c r="G64" s="32">
        <v>500</v>
      </c>
      <c r="H64" s="25"/>
      <c r="I64" s="46"/>
      <c r="J64" s="67"/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8"/>
        <v>500</v>
      </c>
      <c r="Y64" s="69">
        <f t="shared" si="17"/>
        <v>0</v>
      </c>
    </row>
    <row r="65" spans="1:25" s="77" customFormat="1" ht="24.75" customHeight="1">
      <c r="A65" s="1"/>
      <c r="B65" s="29"/>
      <c r="C65" s="55" t="s">
        <v>78</v>
      </c>
      <c r="D65" s="32">
        <f t="shared" si="15"/>
        <v>50000</v>
      </c>
      <c r="E65" s="30"/>
      <c r="F65" s="25">
        <f t="shared" si="16"/>
        <v>50000</v>
      </c>
      <c r="G65" s="32">
        <v>50000</v>
      </c>
      <c r="H65" s="25"/>
      <c r="I65" s="46"/>
      <c r="J65" s="67"/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8"/>
        <v>50000</v>
      </c>
      <c r="Y65" s="69">
        <f t="shared" si="17"/>
        <v>0</v>
      </c>
    </row>
    <row r="66" spans="1:25" s="77" customFormat="1" ht="24.75" customHeight="1">
      <c r="A66" s="1"/>
      <c r="B66" s="29"/>
      <c r="C66" s="31" t="s">
        <v>104</v>
      </c>
      <c r="D66" s="32">
        <f t="shared" si="15"/>
        <v>25000</v>
      </c>
      <c r="E66" s="30"/>
      <c r="F66" s="25">
        <f t="shared" si="16"/>
        <v>25000</v>
      </c>
      <c r="G66" s="32">
        <v>25000</v>
      </c>
      <c r="H66" s="25"/>
      <c r="I66" s="46"/>
      <c r="J66" s="67"/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8"/>
        <v>25000</v>
      </c>
      <c r="Y66" s="69">
        <f t="shared" si="17"/>
        <v>0</v>
      </c>
    </row>
    <row r="67" spans="1:25" s="77" customFormat="1" ht="24.75" customHeight="1">
      <c r="A67" s="1"/>
      <c r="B67" s="29"/>
      <c r="C67" s="55" t="s">
        <v>79</v>
      </c>
      <c r="D67" s="32">
        <f t="shared" si="15"/>
        <v>200000</v>
      </c>
      <c r="E67" s="30"/>
      <c r="F67" s="25">
        <f t="shared" si="16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>H67/(L67+M67+N67+O67+P67+Q67+R67+S67+T67)*100</f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8"/>
        <v>200000</v>
      </c>
      <c r="Y67" s="69">
        <f t="shared" si="17"/>
        <v>0</v>
      </c>
    </row>
    <row r="68" spans="1:25" s="77" customFormat="1" ht="24.75" customHeight="1">
      <c r="A68" s="1"/>
      <c r="B68" s="29"/>
      <c r="C68" s="55" t="s">
        <v>80</v>
      </c>
      <c r="D68" s="32">
        <f t="shared" si="15"/>
        <v>200000</v>
      </c>
      <c r="E68" s="30"/>
      <c r="F68" s="25">
        <f t="shared" si="16"/>
        <v>200000</v>
      </c>
      <c r="G68" s="32">
        <v>200000</v>
      </c>
      <c r="H68" s="25"/>
      <c r="I68" s="46"/>
      <c r="J68" s="67"/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8"/>
        <v>200000</v>
      </c>
      <c r="Y68" s="69">
        <f t="shared" si="17"/>
        <v>0</v>
      </c>
    </row>
    <row r="69" spans="1:25" s="77" customFormat="1" ht="24.75" customHeight="1">
      <c r="A69" s="1"/>
      <c r="B69" s="29"/>
      <c r="C69" s="55" t="s">
        <v>81</v>
      </c>
      <c r="D69" s="32">
        <f t="shared" si="15"/>
        <v>5300000</v>
      </c>
      <c r="E69" s="30"/>
      <c r="F69" s="25">
        <f t="shared" si="16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7">
        <f>H69/(L69+M69+N69+O69+P69+Q69+R69+S69+T69)*100</f>
        <v>9.67741935483871</v>
      </c>
      <c r="K69" s="52">
        <f t="shared" si="8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8"/>
        <v>5300000</v>
      </c>
      <c r="Y69" s="69">
        <f t="shared" si="17"/>
        <v>0</v>
      </c>
    </row>
    <row r="70" spans="1:25" s="77" customFormat="1" ht="24.75" customHeight="1">
      <c r="A70" s="1"/>
      <c r="B70" s="29"/>
      <c r="C70" s="57" t="s">
        <v>82</v>
      </c>
      <c r="D70" s="32">
        <f t="shared" si="15"/>
        <v>350000</v>
      </c>
      <c r="E70" s="30"/>
      <c r="F70" s="25">
        <f t="shared" si="16"/>
        <v>350000</v>
      </c>
      <c r="G70" s="32">
        <v>350000</v>
      </c>
      <c r="H70" s="25">
        <f>105000</f>
        <v>105000</v>
      </c>
      <c r="I70" s="46">
        <f>H70/D70*100</f>
        <v>30</v>
      </c>
      <c r="J70" s="67">
        <f>H70/(L70+M70+N70+O70+P70+Q70+R70+S70+T70)*100</f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8"/>
        <v>350000</v>
      </c>
      <c r="Y70" s="69">
        <f t="shared" si="17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5"/>
        <v>200000</v>
      </c>
      <c r="E71" s="30"/>
      <c r="F71" s="25">
        <f t="shared" si="16"/>
        <v>200000</v>
      </c>
      <c r="G71" s="32">
        <v>200000</v>
      </c>
      <c r="H71" s="25">
        <f>60000</f>
        <v>60000</v>
      </c>
      <c r="I71" s="46">
        <f>H71/D71*100</f>
        <v>30</v>
      </c>
      <c r="J71" s="67">
        <f>H71/(L71+M71+N71+O71+P71+Q71+R71+S71+T71)*100</f>
        <v>39.482256016108764</v>
      </c>
      <c r="K71" s="52">
        <f t="shared" si="8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8"/>
        <v>200000</v>
      </c>
      <c r="Y71" s="69">
        <f t="shared" si="17"/>
        <v>0</v>
      </c>
    </row>
    <row r="72" spans="1:25" s="77" customFormat="1" ht="26.25" customHeight="1">
      <c r="A72" s="1"/>
      <c r="B72" s="29"/>
      <c r="C72" s="58" t="s">
        <v>84</v>
      </c>
      <c r="D72" s="32">
        <f t="shared" si="15"/>
        <v>250000</v>
      </c>
      <c r="E72" s="30"/>
      <c r="F72" s="25">
        <f t="shared" si="16"/>
        <v>250000</v>
      </c>
      <c r="G72" s="32">
        <v>250000</v>
      </c>
      <c r="H72" s="25"/>
      <c r="I72" s="46"/>
      <c r="J72" s="67"/>
      <c r="K72" s="52">
        <f t="shared" si="8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8"/>
        <v>250000</v>
      </c>
      <c r="Y72" s="69">
        <f t="shared" si="17"/>
        <v>0</v>
      </c>
    </row>
    <row r="73" spans="1:25" s="77" customFormat="1" ht="24.75" customHeight="1">
      <c r="A73" s="1"/>
      <c r="B73" s="29"/>
      <c r="C73" s="56" t="s">
        <v>85</v>
      </c>
      <c r="D73" s="32">
        <f t="shared" si="15"/>
        <v>260000</v>
      </c>
      <c r="E73" s="30"/>
      <c r="F73" s="25">
        <f t="shared" si="16"/>
        <v>260000</v>
      </c>
      <c r="G73" s="32">
        <v>260000</v>
      </c>
      <c r="H73" s="25"/>
      <c r="I73" s="46"/>
      <c r="J73" s="67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8"/>
        <v>260000</v>
      </c>
      <c r="Y73" s="69">
        <f t="shared" si="17"/>
        <v>0</v>
      </c>
    </row>
    <row r="74" spans="1:25" s="77" customFormat="1" ht="24.75" customHeight="1">
      <c r="A74" s="1"/>
      <c r="B74" s="29"/>
      <c r="C74" s="56" t="s">
        <v>102</v>
      </c>
      <c r="D74" s="32">
        <f t="shared" si="15"/>
        <v>150000</v>
      </c>
      <c r="E74" s="30"/>
      <c r="F74" s="25">
        <f t="shared" si="16"/>
        <v>150000</v>
      </c>
      <c r="G74" s="32">
        <v>150000</v>
      </c>
      <c r="H74" s="25"/>
      <c r="I74" s="46"/>
      <c r="J74" s="67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8"/>
        <v>150000</v>
      </c>
      <c r="Y74" s="69">
        <f t="shared" si="17"/>
        <v>0</v>
      </c>
    </row>
    <row r="75" spans="1:25" s="77" customFormat="1" ht="24.75" customHeight="1">
      <c r="A75" s="1"/>
      <c r="B75" s="29"/>
      <c r="C75" s="56" t="s">
        <v>86</v>
      </c>
      <c r="D75" s="32">
        <f t="shared" si="15"/>
        <v>150000</v>
      </c>
      <c r="E75" s="30"/>
      <c r="F75" s="25">
        <f t="shared" si="16"/>
        <v>150000</v>
      </c>
      <c r="G75" s="32">
        <v>150000</v>
      </c>
      <c r="H75" s="25"/>
      <c r="I75" s="46"/>
      <c r="J75" s="67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8"/>
        <v>150000</v>
      </c>
      <c r="Y75" s="69">
        <f t="shared" si="17"/>
        <v>0</v>
      </c>
    </row>
    <row r="76" spans="1:25" s="77" customFormat="1" ht="24.75" customHeight="1">
      <c r="A76" s="1"/>
      <c r="B76" s="29"/>
      <c r="C76" s="55" t="s">
        <v>87</v>
      </c>
      <c r="D76" s="32">
        <f t="shared" si="15"/>
        <v>14500000</v>
      </c>
      <c r="E76" s="30"/>
      <c r="F76" s="25">
        <f t="shared" si="16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7">
        <f>H76/(L76+M76+N76+O76+P76+Q76+R76+S76+T76)*100</f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8"/>
        <v>14500000</v>
      </c>
      <c r="Y76" s="69">
        <f t="shared" si="17"/>
        <v>0</v>
      </c>
    </row>
    <row r="77" spans="1:25" s="77" customFormat="1" ht="21.75" customHeight="1">
      <c r="A77" s="1"/>
      <c r="B77" s="29"/>
      <c r="C77" s="55" t="s">
        <v>88</v>
      </c>
      <c r="D77" s="32">
        <f t="shared" si="15"/>
        <v>3050000</v>
      </c>
      <c r="E77" s="30"/>
      <c r="F77" s="25">
        <f t="shared" si="16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7">
        <f>H77/(L77+M77+N77+O77+P77+Q77+R77+S77+T77)*100</f>
        <v>62.61171163506879</v>
      </c>
      <c r="K77" s="52">
        <f t="shared" si="8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8"/>
        <v>3050000</v>
      </c>
      <c r="Y77" s="69">
        <f t="shared" si="17"/>
        <v>0</v>
      </c>
    </row>
    <row r="78" spans="1:25" s="77" customFormat="1" ht="18.75" customHeight="1">
      <c r="A78" s="1"/>
      <c r="B78" s="29"/>
      <c r="C78" s="55" t="s">
        <v>89</v>
      </c>
      <c r="D78" s="32">
        <f t="shared" si="15"/>
        <v>3926191</v>
      </c>
      <c r="E78" s="30"/>
      <c r="F78" s="25">
        <f t="shared" si="16"/>
        <v>3926191</v>
      </c>
      <c r="G78" s="32">
        <f>6648900-7000+1500000-5115600-88109+988000</f>
        <v>3926191</v>
      </c>
      <c r="H78" s="25">
        <f>1453283.2+635176.8+818106.4+14056.21+491000+10144+7457.9</f>
        <v>3429224.51</v>
      </c>
      <c r="I78" s="46">
        <f>H78/D78*100</f>
        <v>87.34227422965412</v>
      </c>
      <c r="J78" s="67">
        <f>H78/(L78+M78+N78+O78+P78+Q78+R78+S78+T78)*100</f>
        <v>92.12919245680837</v>
      </c>
      <c r="K78" s="52">
        <f t="shared" si="8"/>
        <v>292966.4900000002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1000000-749150-100000-150850-180000-24000</f>
        <v>-204000</v>
      </c>
      <c r="U78" s="59">
        <f>1000000-1000000+24000</f>
        <v>24000</v>
      </c>
      <c r="V78" s="59">
        <f>1325950+1000000-1000000-550500-88109-687341+180000</f>
        <v>180000</v>
      </c>
      <c r="W78" s="59">
        <f>500000-500000</f>
        <v>0</v>
      </c>
      <c r="X78" s="59">
        <f t="shared" si="18"/>
        <v>3926191</v>
      </c>
      <c r="Y78" s="69">
        <f t="shared" si="17"/>
        <v>0</v>
      </c>
    </row>
    <row r="79" spans="1:25" s="77" customFormat="1" ht="18.75" customHeight="1">
      <c r="A79" s="1"/>
      <c r="B79" s="29"/>
      <c r="C79" s="31" t="s">
        <v>32</v>
      </c>
      <c r="D79" s="32">
        <f t="shared" si="15"/>
        <v>2519000</v>
      </c>
      <c r="E79" s="30"/>
      <c r="F79" s="25">
        <f t="shared" si="16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7">
        <f>H79/(L79+M79+N79+O79+P79+Q79+R79+S79+T79)*100</f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8"/>
        <v>2519000</v>
      </c>
      <c r="Y79" s="69">
        <f t="shared" si="17"/>
        <v>0</v>
      </c>
    </row>
    <row r="80" spans="1:25" s="77" customFormat="1" ht="19.5" customHeight="1">
      <c r="A80" s="1"/>
      <c r="B80" s="29"/>
      <c r="C80" s="31" t="s">
        <v>33</v>
      </c>
      <c r="D80" s="32">
        <f t="shared" si="15"/>
        <v>4000000</v>
      </c>
      <c r="E80" s="30"/>
      <c r="F80" s="25">
        <f t="shared" si="16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7">
        <f>H80/(L80+M80+N80+O80+P80+Q80+R80+S80+T80)*100</f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8"/>
        <v>4000000</v>
      </c>
      <c r="Y80" s="69">
        <f t="shared" si="17"/>
        <v>0</v>
      </c>
    </row>
    <row r="81" spans="1:25" s="77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7"/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8"/>
        <v>100000</v>
      </c>
      <c r="Y81" s="69">
        <f t="shared" si="17"/>
        <v>0</v>
      </c>
    </row>
    <row r="82" spans="1:25" s="77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7"/>
      <c r="K82" s="52">
        <f t="shared" si="8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8"/>
        <v>500000</v>
      </c>
      <c r="Y82" s="69">
        <f t="shared" si="17"/>
        <v>0</v>
      </c>
    </row>
    <row r="83" spans="1:25" s="77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7"/>
      <c r="K83" s="52">
        <f t="shared" si="8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8"/>
        <v>1480000</v>
      </c>
      <c r="Y83" s="69">
        <f t="shared" si="17"/>
        <v>0</v>
      </c>
    </row>
    <row r="84" spans="1:25" s="77" customFormat="1" ht="40.5" customHeight="1">
      <c r="A84" s="1"/>
      <c r="B84" s="29"/>
      <c r="C84" s="55" t="s">
        <v>34</v>
      </c>
      <c r="D84" s="32">
        <f t="shared" si="15"/>
        <v>147000</v>
      </c>
      <c r="E84" s="30"/>
      <c r="F84" s="25">
        <f t="shared" si="16"/>
        <v>147000</v>
      </c>
      <c r="G84" s="32">
        <f>462000+385000-700000</f>
        <v>147000</v>
      </c>
      <c r="H84" s="25"/>
      <c r="I84" s="46"/>
      <c r="J84" s="67"/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8"/>
        <v>147000</v>
      </c>
      <c r="Y84" s="69">
        <f t="shared" si="17"/>
        <v>0</v>
      </c>
    </row>
    <row r="85" spans="1:25" s="77" customFormat="1" ht="40.5" customHeight="1">
      <c r="A85" s="1"/>
      <c r="B85" s="29"/>
      <c r="C85" s="55" t="s">
        <v>90</v>
      </c>
      <c r="D85" s="32">
        <f t="shared" si="15"/>
        <v>11600000</v>
      </c>
      <c r="E85" s="30"/>
      <c r="F85" s="25">
        <f t="shared" si="16"/>
        <v>11600000</v>
      </c>
      <c r="G85" s="32">
        <f>3000000+8600000</f>
        <v>11600000</v>
      </c>
      <c r="H85" s="25">
        <f>1400000+4300000+1082142+1437858+23357.42+1714649.98</f>
        <v>9958007.4</v>
      </c>
      <c r="I85" s="46">
        <f>H85/D85*100</f>
        <v>85.84489137931035</v>
      </c>
      <c r="J85" s="67">
        <f>H85/(L85+M85+N85+O85+P85+Q85+R85+S85+T85)*100</f>
        <v>99.1438410991637</v>
      </c>
      <c r="K85" s="52">
        <f t="shared" si="8"/>
        <v>85992.59999999963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f>2000000+24000+1800000</f>
        <v>3824000</v>
      </c>
      <c r="U85" s="59">
        <f>1300000+1000000-24000-1800000</f>
        <v>476000</v>
      </c>
      <c r="V85" s="59">
        <v>1000000</v>
      </c>
      <c r="W85" s="59">
        <f>80000</f>
        <v>80000</v>
      </c>
      <c r="X85" s="59">
        <f t="shared" si="18"/>
        <v>11600000</v>
      </c>
      <c r="Y85" s="69">
        <f t="shared" si="17"/>
        <v>0</v>
      </c>
    </row>
    <row r="86" spans="1:25" s="77" customFormat="1" ht="40.5" customHeight="1">
      <c r="A86" s="1"/>
      <c r="B86" s="29"/>
      <c r="C86" s="31" t="s">
        <v>35</v>
      </c>
      <c r="D86" s="32">
        <f t="shared" si="15"/>
        <v>2188000</v>
      </c>
      <c r="E86" s="30"/>
      <c r="F86" s="25">
        <f t="shared" si="16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7">
        <f>H86/(L86+M86+N86+O86+P86+Q86+R86+S86+T86)*100</f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8"/>
        <v>2188000</v>
      </c>
      <c r="Y86" s="69">
        <f t="shared" si="17"/>
        <v>0</v>
      </c>
    </row>
    <row r="87" spans="1:25" s="77" customFormat="1" ht="39.75" customHeight="1">
      <c r="A87" s="1"/>
      <c r="B87" s="29"/>
      <c r="C87" s="55" t="s">
        <v>36</v>
      </c>
      <c r="D87" s="32">
        <f t="shared" si="15"/>
        <v>254000</v>
      </c>
      <c r="E87" s="30"/>
      <c r="F87" s="25">
        <f t="shared" si="16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7">
        <f>H87/(L87+M87+N87+O87+P87+Q87+R87+S87+T87)*100</f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8"/>
        <v>254000</v>
      </c>
      <c r="Y87" s="69">
        <f t="shared" si="17"/>
        <v>0</v>
      </c>
    </row>
    <row r="88" spans="1:25" s="77" customFormat="1" ht="39.75" customHeight="1">
      <c r="A88" s="1"/>
      <c r="B88" s="29"/>
      <c r="C88" s="55" t="s">
        <v>91</v>
      </c>
      <c r="D88" s="32">
        <f t="shared" si="15"/>
        <v>20000000</v>
      </c>
      <c r="E88" s="30"/>
      <c r="F88" s="25">
        <f t="shared" si="16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13429+7850000+306023.62+885285.6+1757858.8+137329.67+2000000+3430424.4+44980.76+1526696.4+20069.81+1128035.73+685593.6+10647.49+148666.8+4855.48</f>
        <v>19949897.16</v>
      </c>
      <c r="I88" s="46">
        <f>H88/D88*100</f>
        <v>99.7494858</v>
      </c>
      <c r="J88" s="67">
        <f>H88/(L88+M88+N88+O88+P88+Q88+R88+S88+T88)*100</f>
        <v>99.7494858</v>
      </c>
      <c r="K88" s="52">
        <f t="shared" si="8"/>
        <v>50102.83999999985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8"/>
        <v>20000000</v>
      </c>
      <c r="Y88" s="69">
        <f t="shared" si="17"/>
        <v>0</v>
      </c>
    </row>
    <row r="89" spans="1:25" s="77" customFormat="1" ht="22.5" customHeight="1">
      <c r="A89" s="1"/>
      <c r="B89" s="29"/>
      <c r="C89" s="31" t="s">
        <v>37</v>
      </c>
      <c r="D89" s="32">
        <f t="shared" si="15"/>
        <v>137000</v>
      </c>
      <c r="E89" s="30"/>
      <c r="F89" s="25">
        <f t="shared" si="16"/>
        <v>137000</v>
      </c>
      <c r="G89" s="32">
        <f>837000-700000</f>
        <v>137000</v>
      </c>
      <c r="H89" s="25"/>
      <c r="I89" s="46"/>
      <c r="J89" s="67"/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8"/>
        <v>137000</v>
      </c>
      <c r="Y89" s="69">
        <f t="shared" si="17"/>
        <v>0</v>
      </c>
    </row>
    <row r="90" spans="1:25" s="77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6"/>
        <v>400000</v>
      </c>
      <c r="G90" s="32">
        <f>900000-500000</f>
        <v>400000</v>
      </c>
      <c r="H90" s="25"/>
      <c r="I90" s="46"/>
      <c r="J90" s="67"/>
      <c r="K90" s="52">
        <f aca="true" t="shared" si="19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8"/>
        <v>400000</v>
      </c>
      <c r="Y90" s="69">
        <f t="shared" si="17"/>
        <v>0</v>
      </c>
    </row>
    <row r="91" spans="1:25" s="77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6"/>
        <v>248000</v>
      </c>
      <c r="G91" s="25">
        <v>248000</v>
      </c>
      <c r="H91" s="25"/>
      <c r="I91" s="46"/>
      <c r="J91" s="67"/>
      <c r="K91" s="52">
        <f t="shared" si="19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8"/>
        <v>248000</v>
      </c>
      <c r="Y91" s="69">
        <f t="shared" si="17"/>
        <v>0</v>
      </c>
    </row>
    <row r="92" spans="1:25" s="77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6"/>
        <v>10545999.2</v>
      </c>
      <c r="G92" s="32">
        <f>13000000-2454000.8</f>
        <v>10545999.2</v>
      </c>
      <c r="H92" s="25"/>
      <c r="I92" s="46"/>
      <c r="J92" s="67"/>
      <c r="K92" s="52">
        <f t="shared" si="19"/>
        <v>1947785.76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f>549239.76-1800000</f>
        <v>-1250760.24</v>
      </c>
      <c r="U92" s="60">
        <f>5037999.2+1800000</f>
        <v>6837999.2</v>
      </c>
      <c r="V92" s="60">
        <v>1338861.78</v>
      </c>
      <c r="W92" s="60">
        <v>421352.46</v>
      </c>
      <c r="X92" s="59">
        <f t="shared" si="18"/>
        <v>10545999.200000001</v>
      </c>
      <c r="Y92" s="69">
        <f t="shared" si="17"/>
        <v>0</v>
      </c>
    </row>
    <row r="93" spans="1:25" s="77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6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7">
        <f>H93/(L93+M93+N93+O93+P93+Q93+R93+S93+T93)*100</f>
        <v>21.42764790183323</v>
      </c>
      <c r="K93" s="52">
        <f t="shared" si="19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8"/>
        <v>3585100</v>
      </c>
      <c r="Y93" s="69">
        <f t="shared" si="17"/>
        <v>0</v>
      </c>
    </row>
    <row r="94" spans="1:25" s="77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6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7">
        <f>H94/(L94+M94+N94+O94+P94+Q94+R94+S94+T94)*100</f>
        <v>99.711</v>
      </c>
      <c r="K94" s="52">
        <f t="shared" si="19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8"/>
        <v>300000</v>
      </c>
      <c r="Y94" s="69">
        <f t="shared" si="17"/>
        <v>0</v>
      </c>
    </row>
    <row r="95" spans="1:25" s="77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6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7">
        <f>H95/(L95+M95+N95+O95+P95+Q95+R95+S95+T95)*100</f>
        <v>54.9485</v>
      </c>
      <c r="K95" s="52">
        <f t="shared" si="19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8"/>
        <v>300000</v>
      </c>
      <c r="Y95" s="69">
        <f t="shared" si="17"/>
        <v>0</v>
      </c>
    </row>
    <row r="96" spans="1:25" s="77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6"/>
        <v>538000</v>
      </c>
      <c r="G96" s="32">
        <v>538000</v>
      </c>
      <c r="H96" s="25">
        <f>139785.59+164838.36</f>
        <v>304623.94999999995</v>
      </c>
      <c r="I96" s="46">
        <f>H96/D96*100</f>
        <v>56.62155204460966</v>
      </c>
      <c r="J96" s="67">
        <f>H96/(L96+M96+N96+O96+P96+Q96+R96+S96+T96)*100</f>
        <v>89.5952794117647</v>
      </c>
      <c r="K96" s="52">
        <f t="shared" si="19"/>
        <v>35376.05000000005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>
        <f>180000</f>
        <v>180000</v>
      </c>
      <c r="U96" s="59"/>
      <c r="V96" s="59">
        <f>378000-180000</f>
        <v>198000</v>
      </c>
      <c r="W96" s="59"/>
      <c r="X96" s="59">
        <f t="shared" si="18"/>
        <v>538000</v>
      </c>
      <c r="Y96" s="69">
        <f t="shared" si="17"/>
        <v>0</v>
      </c>
    </row>
    <row r="97" spans="1:25" s="77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6"/>
        <v>5000</v>
      </c>
      <c r="G97" s="32">
        <v>5000</v>
      </c>
      <c r="H97" s="25"/>
      <c r="I97" s="46"/>
      <c r="J97" s="67"/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8"/>
        <v>5000</v>
      </c>
      <c r="Y97" s="69">
        <f t="shared" si="17"/>
        <v>0</v>
      </c>
    </row>
    <row r="98" spans="1:25" s="77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6"/>
        <v>20640</v>
      </c>
      <c r="G98" s="32">
        <v>20640</v>
      </c>
      <c r="H98" s="25"/>
      <c r="I98" s="46"/>
      <c r="J98" s="67"/>
      <c r="K98" s="52">
        <f t="shared" si="19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8"/>
        <v>20640</v>
      </c>
      <c r="Y98" s="69">
        <f t="shared" si="17"/>
        <v>0</v>
      </c>
    </row>
    <row r="99" spans="1:25" s="77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6"/>
        <v>250000</v>
      </c>
      <c r="G99" s="32">
        <v>250000</v>
      </c>
      <c r="H99" s="25">
        <f>30024.06+40894.59</f>
        <v>70918.65</v>
      </c>
      <c r="I99" s="46">
        <f>H99/D99*100</f>
        <v>28.36746</v>
      </c>
      <c r="J99" s="67">
        <f>H99/(L99+M99+N99+O99+P99+Q99+R99+S99+T99)*100</f>
        <v>28.36746</v>
      </c>
      <c r="K99" s="52">
        <f t="shared" si="19"/>
        <v>179081.35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8"/>
        <v>250000</v>
      </c>
      <c r="Y99" s="69">
        <f t="shared" si="17"/>
        <v>0</v>
      </c>
    </row>
    <row r="100" spans="1:25" s="77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6"/>
        <v>2050000</v>
      </c>
      <c r="G100" s="32">
        <f>50000+2000000</f>
        <v>2050000</v>
      </c>
      <c r="H100" s="25"/>
      <c r="I100" s="46"/>
      <c r="J100" s="67"/>
      <c r="K100" s="52">
        <f t="shared" si="19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8"/>
        <v>2050000</v>
      </c>
      <c r="Y100" s="69">
        <f t="shared" si="17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163502455.89</v>
      </c>
      <c r="I101" s="44">
        <f>H101/D101*100</f>
        <v>67.45401967109295</v>
      </c>
      <c r="J101" s="44">
        <f>H101/(L101+M101+N101+O101+P101+Q101+R101+S101+T101)*100</f>
        <v>87.46628131751062</v>
      </c>
      <c r="K101" s="52">
        <f t="shared" si="19"/>
        <v>23429529.129999995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45593908.06</v>
      </c>
      <c r="T101" s="20">
        <f t="shared" si="21"/>
        <v>20671941.64</v>
      </c>
      <c r="U101" s="20">
        <f t="shared" si="21"/>
        <v>24420517.43</v>
      </c>
      <c r="V101" s="20">
        <f t="shared" si="21"/>
        <v>16158003.759999998</v>
      </c>
      <c r="W101" s="20">
        <f t="shared" si="21"/>
        <v>14880468.69</v>
      </c>
      <c r="X101" s="20">
        <f t="shared" si="21"/>
        <v>242390974.89999998</v>
      </c>
      <c r="Y101" s="69">
        <f t="shared" si="17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69">
        <f t="shared" si="17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69">
        <f t="shared" si="17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2016-09-27T14:32:01Z</dcterms:modified>
  <cp:category/>
  <cp:version/>
  <cp:contentType/>
  <cp:contentStatus/>
</cp:coreProperties>
</file>